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МЕТА 2025\"/>
    </mc:Choice>
  </mc:AlternateContent>
  <xr:revisionPtr revIDLastSave="0" documentId="13_ncr:1_{8A8A1203-BE11-47CF-B904-6A4C8779D23D}" xr6:coauthVersionLast="47" xr6:coauthVersionMax="47" xr10:uidLastSave="{00000000-0000-0000-0000-000000000000}"/>
  <bookViews>
    <workbookView xWindow="-108" yWindow="-108" windowWidth="23256" windowHeight="12456" tabRatio="311" xr2:uid="{00000000-000D-0000-FFFF-FFFF00000000}"/>
  </bookViews>
  <sheets>
    <sheet name="Полн.вар. 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D35" i="3" l="1"/>
  <c r="D39" i="3" l="1"/>
  <c r="D14" i="3"/>
  <c r="D49" i="3"/>
  <c r="D81" i="3"/>
  <c r="D79" i="3" s="1"/>
  <c r="D53" i="3"/>
  <c r="D54" i="3"/>
  <c r="D55" i="3"/>
  <c r="D59" i="3"/>
  <c r="D60" i="3"/>
  <c r="D61" i="3"/>
  <c r="D62" i="3"/>
  <c r="D63" i="3"/>
  <c r="D65" i="3"/>
  <c r="D71" i="3"/>
  <c r="D72" i="3"/>
  <c r="D75" i="3"/>
  <c r="D74" i="3" s="1"/>
  <c r="D86" i="3"/>
  <c r="D87" i="3"/>
  <c r="D88" i="3"/>
  <c r="D92" i="3"/>
  <c r="D93" i="3"/>
  <c r="G94" i="3"/>
  <c r="D38" i="3" l="1"/>
  <c r="D67" i="3"/>
  <c r="D58" i="3"/>
  <c r="D85" i="3"/>
  <c r="D90" i="3"/>
  <c r="D50" i="3"/>
  <c r="D94" i="3" l="1"/>
  <c r="D27" i="3"/>
  <c r="D24" i="3"/>
  <c r="D21" i="3" l="1"/>
  <c r="G37" i="3"/>
  <c r="G95" i="3" l="1"/>
  <c r="D20" i="3"/>
  <c r="D37" i="3" s="1"/>
  <c r="D95" i="3" l="1"/>
  <c r="D8" i="3" s="1"/>
  <c r="E8" i="3" l="1"/>
  <c r="D11" i="3"/>
</calcChain>
</file>

<file path=xl/sharedStrings.xml><?xml version="1.0" encoding="utf-8"?>
<sst xmlns="http://schemas.openxmlformats.org/spreadsheetml/2006/main" count="157" uniqueCount="140">
  <si>
    <t>СНТ "Олеумщик"</t>
  </si>
  <si>
    <t>Итого</t>
  </si>
  <si>
    <t>Статья расхода</t>
  </si>
  <si>
    <t>Статья поступлений</t>
  </si>
  <si>
    <t>Поступление по судебным искам</t>
  </si>
  <si>
    <t>Поступление по эл/энергии</t>
  </si>
  <si>
    <t xml:space="preserve">Площадь расчетная:            </t>
  </si>
  <si>
    <t xml:space="preserve">  доходов и расходов </t>
  </si>
  <si>
    <t xml:space="preserve">Членские взносы </t>
  </si>
  <si>
    <t>Согласно штатного расписания</t>
  </si>
  <si>
    <t>30,2% от начисленной заработной платы</t>
  </si>
  <si>
    <t>1.</t>
  </si>
  <si>
    <t>2.</t>
  </si>
  <si>
    <t>3.</t>
  </si>
  <si>
    <t>УПРАВЛЕНЧЕСКИЕ РАСХОДЫ</t>
  </si>
  <si>
    <t>ЗАРАБОТНАЯ ПЛАТА АДМИНИСТРАТИВНО-УПРАВЛЕНЧЕСКОГО ПЕРСОНАЛА</t>
  </si>
  <si>
    <t>НАЛОГИ С ЗАРАБОТНОЙ ПЛАТЫ АДМИНИСТРАТИВНО-УПРАВЛЕНЧЕСКОГО ПЕРСОНАЛА</t>
  </si>
  <si>
    <t>ПРОЧИЕ УПРАВЛЕНЧЕСКИЕ РАСХОДЫ</t>
  </si>
  <si>
    <t>1. Заработная плата:</t>
  </si>
  <si>
    <t>2.Налоги с заработной платы</t>
  </si>
  <si>
    <t>3.Тех.обслуживание охранной сигнализации</t>
  </si>
  <si>
    <t>4.Услуги по охране объекта при помощи средств КТС</t>
  </si>
  <si>
    <t>8000*12 мес.</t>
  </si>
  <si>
    <t>ВОДОСНАБЖЕНИЕ</t>
  </si>
  <si>
    <t>ОХРАНА ОБЩЕГО ИМУЩЕСТВА</t>
  </si>
  <si>
    <t>РАСХОДЫ НА СОДЕРЖАНИЕ И ОБСЛУЖИВАНИЕ ОБЩЕГО ИМУЩЕСТВА СНТ</t>
  </si>
  <si>
    <t>Специалист по водоснабжению</t>
  </si>
  <si>
    <t>Сварщик</t>
  </si>
  <si>
    <t>Слесарь</t>
  </si>
  <si>
    <t xml:space="preserve">Работы самозанятых </t>
  </si>
  <si>
    <t>Работы, услуги соторонних органицаций (по договору)</t>
  </si>
  <si>
    <t>2.Ремонт, тех.обслуживание насосов, электрооборудования скважин</t>
  </si>
  <si>
    <t>3.Расходные материалы (Электроды, хомуты, краны, ключи, резьбы и т.д.)</t>
  </si>
  <si>
    <t>4.Тех.обслуживание датчиков определения уровня воды в резервуарах (бочках)</t>
  </si>
  <si>
    <t>1.Работы по сборке и разборке центральной системы водоснабжения; текущий ремонт центральной системы водоснабжения:</t>
  </si>
  <si>
    <t>ЭЛЕКТРОСНАБЖЕНИЕ</t>
  </si>
  <si>
    <t>1.Оплата за потребленную электроэнергию</t>
  </si>
  <si>
    <t>2.Услуги поверки, монтажа трансформаторов</t>
  </si>
  <si>
    <t>3.Транспорттные услуги по транспортировке трансформаторов (установка на лето, уборка на зимний период). Спецтехника -"ручка"</t>
  </si>
  <si>
    <t xml:space="preserve">Разнорабочий </t>
  </si>
  <si>
    <t xml:space="preserve">5. Устранение аварийных ситуаций на ЛЭП общего пользования : Электрик. з/плата+ налоги с з/платы </t>
  </si>
  <si>
    <t>Работы самозанятых</t>
  </si>
  <si>
    <t>2.Прокос травы, очистка от кустарников скважин (3 раза в год, расстояние 31 соток * 400руб.)</t>
  </si>
  <si>
    <t>4.</t>
  </si>
  <si>
    <t>БЛАГОУСТРОЙСТВО И СОДЕРЖАНИЕ ТЕРРИТОРИИ</t>
  </si>
  <si>
    <t>6.</t>
  </si>
  <si>
    <t>1.Прокос травы, очистка ЛЭП от кустарников  от ст."Полевая"до территории СНТ (3 раза в год, расстояние 30 соток * 400руб.)</t>
  </si>
  <si>
    <t>3.Прокос травы, очистка от кустарников центральных дорог (2я, 3я,4я, 5я центральные дороги - 6,5 км длинной *2 обочины *1 м шириной = 130 соток. Прокос 3 раза в год, расстояние 130 соток *400руб.)</t>
  </si>
  <si>
    <t>5.Доставка ПГС от поставщика до СНТ</t>
  </si>
  <si>
    <t>6.Услуги автогрейдирования</t>
  </si>
  <si>
    <t>7.</t>
  </si>
  <si>
    <t>5.</t>
  </si>
  <si>
    <t>ВИДЕОНАБЛЮДЕНИЕ</t>
  </si>
  <si>
    <t>Ответственный дежурный (4 штатн.ед.)</t>
  </si>
  <si>
    <t>Дежурный (4 шт.ед.)</t>
  </si>
  <si>
    <t>1.Обслуживание системы видеонаблюдения (6000руб.*12мес.)</t>
  </si>
  <si>
    <t>2.Расходные материалы для текущего ремонта</t>
  </si>
  <si>
    <t>СОДЕРЖАНИЕ И ОБСЛУЖИВАНИЕ ОБЩЕГО ИМУЩЕСТВА</t>
  </si>
  <si>
    <t>Работы, услуги соторонних органицаций (по договору)- исполнитель ООО "ОПС"</t>
  </si>
  <si>
    <t>8..Расходные материалы (Леска д/триммеров, масло, цепь и т.д.)</t>
  </si>
  <si>
    <t>1.ТО, ремонт электро-инстументов</t>
  </si>
  <si>
    <t>1.Взносы окруж.среда</t>
  </si>
  <si>
    <t>2.Услуги банка</t>
  </si>
  <si>
    <t>3.Интернет</t>
  </si>
  <si>
    <t>4.Перенос точки подключения к сети Интернет</t>
  </si>
  <si>
    <t>5.Почтовые расходы</t>
  </si>
  <si>
    <t>6.Мобильная связь</t>
  </si>
  <si>
    <t>7.Ремонт, тех.обслуживание, заправка картриджей</t>
  </si>
  <si>
    <t>8.Изготовление пропусков , услуги типографии</t>
  </si>
  <si>
    <t>9.Тех.поддержка программы "1С-Садовод"</t>
  </si>
  <si>
    <t>10.Сайта :Домен 8000руб, программист: 2000</t>
  </si>
  <si>
    <t>11.Продление лицензии на использование программы "Контур" (сдача отчетности)</t>
  </si>
  <si>
    <t>12.Канц.товары (бумага для принтера, ручки, скобы для степлера, папки, мультифоры)</t>
  </si>
  <si>
    <t>13.Приобретение системного блока</t>
  </si>
  <si>
    <t>14.Аренда помещения</t>
  </si>
  <si>
    <t>8.</t>
  </si>
  <si>
    <t>РАБОТЫ С ДОЛЖНИКАМИ ПО ОПЛАТЕ ЧЛЕНСКИХ ВЗНОСОВ</t>
  </si>
  <si>
    <t>1.Юридические услуги 30*3500руб.</t>
  </si>
  <si>
    <t>КАДАСТРОВЫЕ РАБОТЫ ЗЕМЕЛЬ ОБЩЕГО ПОЛЬЗОВАНИЯ</t>
  </si>
  <si>
    <t>1.Госпошлина</t>
  </si>
  <si>
    <t>2.Подача в суд для уточнения границ (10чел.*3500руб.)</t>
  </si>
  <si>
    <t>ИТОГО УПРАВЛЕНЧЕСКИЕ РАСХОДЫ:</t>
  </si>
  <si>
    <t>ИТОГО РАСХОДЫ НА СОДЕРЖАНИЕ И ОБСЛУЖИВАНИЕ ОБЩЕГО ИМУЩЕСТВА СНТ</t>
  </si>
  <si>
    <t>ВСЕГО РАСХОДЫ:</t>
  </si>
  <si>
    <t>РАСХОДЫ</t>
  </si>
  <si>
    <t>Сумма</t>
  </si>
  <si>
    <t>сумма на  1 сотку</t>
  </si>
  <si>
    <t>расчет суммы на  1 сотку</t>
  </si>
  <si>
    <t>Примечание</t>
  </si>
  <si>
    <t>не входит в расчет членских взносов</t>
  </si>
  <si>
    <t>ДОХОДЫ</t>
  </si>
  <si>
    <t>СМЕТА</t>
  </si>
  <si>
    <t>15.Непредвиденные расходы</t>
  </si>
  <si>
    <t>1.Председатель  - 1 шт.ед.</t>
  </si>
  <si>
    <t>2.Бухгалтер - 0,75 шт.ед.</t>
  </si>
  <si>
    <t>3.Специалист по кадрам - 0,25 шт.ед.</t>
  </si>
  <si>
    <t>4.Кассир- 0,5 шт.ед.</t>
  </si>
  <si>
    <t>5.Делопроизводитель - 0,5 шт.ед.</t>
  </si>
  <si>
    <t xml:space="preserve"> на 2025 год.</t>
  </si>
  <si>
    <t>1650*12мес</t>
  </si>
  <si>
    <t>1350*12мес.</t>
  </si>
  <si>
    <t>500*3тел.*12мес</t>
  </si>
  <si>
    <t>4. Установка видеокамер (6 шт для видеонабл.на КТП)</t>
  </si>
  <si>
    <t>3. Установка видеокамер (8 шт от 53кварт. до 45Б кварт. Работы -45 000 руб.)</t>
  </si>
  <si>
    <t>количество кВт - по факту 2024 г. С учетом прироста потребляемой эл.эн. (новые подключения садоводов)</t>
  </si>
  <si>
    <t>Работы, услуги соторонних органицаций (по договору). Сумма по выкту 2024 г.</t>
  </si>
  <si>
    <t>По договору поставщика (Бийский речной порт). Цены 2024 г.</t>
  </si>
  <si>
    <t>7.Вывоз и захоронение ТБО 500 конт.*507,57руб.</t>
  </si>
  <si>
    <t>Работы, услуги соторонних органицаций (по договору).</t>
  </si>
  <si>
    <t xml:space="preserve"> Поставщик материалов - ООО "Системы видеонаблюдения"</t>
  </si>
  <si>
    <t>2.Госпошлина 30*2000руб.</t>
  </si>
  <si>
    <t>3.Выписки, сведения из Росреестра (10чел.*800руб.)</t>
  </si>
  <si>
    <t>2.Ремонт сан.кабины на 62 квартале</t>
  </si>
  <si>
    <t>4.Инвентаризация садовых участков</t>
  </si>
  <si>
    <t>3.Почтовые расходы (отправка писем) 30шт.</t>
  </si>
  <si>
    <t>3.Приобретение бытовки (организация места работы кассира возле центрального шлагбаума)</t>
  </si>
  <si>
    <t>6.  Установка счетчиков на КТП (№№32, 47, 53а, 62, 17) для контроля объема кВт/ч</t>
  </si>
  <si>
    <t xml:space="preserve">(8 часов * 3500руб.)*2 раза в год </t>
  </si>
  <si>
    <t>4.ПГС 300 тонн*75 руб+ услуги по переработке ПГС и доставке до пункта выдачи 300 тонн*225 руб.</t>
  </si>
  <si>
    <t>4.Установка провода СИП 4-16 до скважин (кв.53а,62) 128руб.* 200м + 4400руб. крепление</t>
  </si>
  <si>
    <t>7. Расходные материалы (лампы, провод,эл.вилки, осветительн.приборы, изолента, контакторы и т.д.)</t>
  </si>
  <si>
    <t>2. Приобретение задвижек D80 для забора воды пожарными машинами</t>
  </si>
  <si>
    <t>4. Заправка, поверка огнетушителей</t>
  </si>
  <si>
    <t>Аренда зала 15000 руб.+Иртыш.32 6500*10</t>
  </si>
  <si>
    <t>1178980,72/ 11328</t>
  </si>
  <si>
    <t>356052,18 / 11328</t>
  </si>
  <si>
    <t>367200 / 11328</t>
  </si>
  <si>
    <t>нет в 1 варианте сметы</t>
  </si>
  <si>
    <t>1143000 / 11328</t>
  </si>
  <si>
    <t>(2923736,95-620000) / 11328</t>
  </si>
  <si>
    <t xml:space="preserve">6 шт. приобретение, установка </t>
  </si>
  <si>
    <t>714485/11328</t>
  </si>
  <si>
    <t>3928360,87/11328</t>
  </si>
  <si>
    <t>270000/11328</t>
  </si>
  <si>
    <t>346250/11328</t>
  </si>
  <si>
    <t>(180000-100000) / 11328</t>
  </si>
  <si>
    <t>68000/11328</t>
  </si>
  <si>
    <t>Слесарь КИПиА</t>
  </si>
  <si>
    <t>5.Замена труб D365,325.   100 м + 4060 руб. + доставка труб 14000 руб. (3я центральная дорога)</t>
  </si>
  <si>
    <t xml:space="preserve">6. Ремонт/замена оборудования системы водоснабжения (замена насосов, приобретение задвижек)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</si>
</sst>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wrapText="1"/>
    </xf>
    <xf numFmtId="4" fontId="6" fillId="2" borderId="0" xfId="0" applyNumberFormat="1" applyFont="1" applyFill="1" applyAlignment="1">
      <alignment horizontal="center" wrapText="1"/>
    </xf>
    <xf numFmtId="0" fontId="6" fillId="3" borderId="1" xfId="0" applyFont="1" applyFill="1" applyBorder="1" applyAlignment="1">
      <alignment wrapText="1"/>
    </xf>
    <xf numFmtId="4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6" fillId="3" borderId="1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topLeftCell="A62" zoomScale="90" zoomScaleNormal="90" workbookViewId="0">
      <selection activeCell="C68" sqref="A68:XFD73"/>
    </sheetView>
  </sheetViews>
  <sheetFormatPr defaultColWidth="9.28515625" defaultRowHeight="13.8" x14ac:dyDescent="0.25"/>
  <cols>
    <col min="1" max="1" width="11" style="4" customWidth="1"/>
    <col min="2" max="2" width="7.7109375" style="8" customWidth="1"/>
    <col min="3" max="3" width="50" style="4" customWidth="1"/>
    <col min="4" max="4" width="23.42578125" style="47" customWidth="1"/>
    <col min="5" max="5" width="37.28515625" style="4" customWidth="1"/>
    <col min="6" max="6" width="20.28515625" style="30" customWidth="1"/>
    <col min="7" max="7" width="11.85546875" style="22" customWidth="1"/>
    <col min="8" max="8" width="9.28515625" style="5" customWidth="1"/>
    <col min="9" max="16384" width="9.28515625" style="5"/>
  </cols>
  <sheetData>
    <row r="1" spans="1:7" s="1" customFormat="1" ht="24.75" customHeight="1" x14ac:dyDescent="0.3">
      <c r="A1" s="57" t="s">
        <v>0</v>
      </c>
      <c r="B1" s="57"/>
      <c r="C1" s="57"/>
      <c r="D1" s="57"/>
      <c r="E1" s="57"/>
      <c r="F1" s="57"/>
      <c r="G1" s="57"/>
    </row>
    <row r="2" spans="1:7" s="1" customFormat="1" ht="24.75" customHeight="1" x14ac:dyDescent="0.35">
      <c r="A2" s="58" t="s">
        <v>91</v>
      </c>
      <c r="B2" s="58"/>
      <c r="C2" s="58"/>
      <c r="D2" s="58"/>
      <c r="E2" s="58"/>
      <c r="F2" s="58"/>
      <c r="G2" s="58"/>
    </row>
    <row r="3" spans="1:7" s="1" customFormat="1" ht="20.25" customHeight="1" x14ac:dyDescent="0.35">
      <c r="A3" s="59" t="s">
        <v>7</v>
      </c>
      <c r="B3" s="59"/>
      <c r="C3" s="59"/>
      <c r="D3" s="59"/>
      <c r="E3" s="59"/>
      <c r="F3" s="59"/>
      <c r="G3" s="59"/>
    </row>
    <row r="4" spans="1:7" s="1" customFormat="1" ht="25.5" customHeight="1" x14ac:dyDescent="0.35">
      <c r="A4" s="60" t="s">
        <v>98</v>
      </c>
      <c r="B4" s="60"/>
      <c r="C4" s="60"/>
      <c r="D4" s="60"/>
      <c r="E4" s="60"/>
      <c r="F4" s="60"/>
      <c r="G4" s="60"/>
    </row>
    <row r="5" spans="1:7" s="1" customFormat="1" ht="39" customHeight="1" x14ac:dyDescent="0.3">
      <c r="A5" s="62" t="s">
        <v>90</v>
      </c>
      <c r="B5" s="62"/>
      <c r="C5" s="62"/>
      <c r="D5" s="62"/>
      <c r="E5" s="62"/>
      <c r="F5" s="62"/>
      <c r="G5" s="62"/>
    </row>
    <row r="6" spans="1:7" ht="67.5" customHeight="1" x14ac:dyDescent="0.25">
      <c r="A6" s="55" t="s">
        <v>3</v>
      </c>
      <c r="B6" s="55"/>
      <c r="C6" s="55"/>
      <c r="D6" s="35" t="s">
        <v>85</v>
      </c>
      <c r="E6" s="55" t="s">
        <v>88</v>
      </c>
      <c r="F6" s="55"/>
      <c r="G6" s="55"/>
    </row>
    <row r="7" spans="1:7" s="1" customFormat="1" ht="18.75" customHeight="1" x14ac:dyDescent="0.3">
      <c r="A7" s="2">
        <v>1</v>
      </c>
      <c r="B7" s="66" t="s">
        <v>6</v>
      </c>
      <c r="C7" s="66"/>
      <c r="D7" s="36">
        <v>11328</v>
      </c>
      <c r="E7" s="61"/>
      <c r="F7" s="61"/>
      <c r="G7" s="61"/>
    </row>
    <row r="8" spans="1:7" s="1" customFormat="1" ht="34.5" customHeight="1" x14ac:dyDescent="0.3">
      <c r="A8" s="2">
        <v>2</v>
      </c>
      <c r="B8" s="66" t="s">
        <v>8</v>
      </c>
      <c r="C8" s="66"/>
      <c r="D8" s="37">
        <f>D95-620000-100000</f>
        <v>10756065.706224574</v>
      </c>
      <c r="E8" s="63">
        <f>D8/D7</f>
        <v>949.51145005513536</v>
      </c>
      <c r="F8" s="63"/>
      <c r="G8" s="63"/>
    </row>
    <row r="9" spans="1:7" s="1" customFormat="1" ht="32.25" customHeight="1" x14ac:dyDescent="0.3">
      <c r="A9" s="2">
        <v>3</v>
      </c>
      <c r="B9" s="66" t="s">
        <v>4</v>
      </c>
      <c r="C9" s="66"/>
      <c r="D9" s="37">
        <v>100000</v>
      </c>
      <c r="E9" s="61" t="s">
        <v>89</v>
      </c>
      <c r="F9" s="61"/>
      <c r="G9" s="61"/>
    </row>
    <row r="10" spans="1:7" s="1" customFormat="1" ht="31.5" customHeight="1" x14ac:dyDescent="0.3">
      <c r="A10" s="2">
        <v>4</v>
      </c>
      <c r="B10" s="66" t="s">
        <v>5</v>
      </c>
      <c r="C10" s="66"/>
      <c r="D10" s="37">
        <v>620000</v>
      </c>
      <c r="E10" s="61" t="s">
        <v>89</v>
      </c>
      <c r="F10" s="61"/>
      <c r="G10" s="61"/>
    </row>
    <row r="11" spans="1:7" s="1" customFormat="1" ht="20.25" customHeight="1" x14ac:dyDescent="0.3">
      <c r="A11" s="3"/>
      <c r="B11" s="66" t="s">
        <v>1</v>
      </c>
      <c r="C11" s="66"/>
      <c r="D11" s="38">
        <f>SUM(D8:D10)</f>
        <v>11476065.706224574</v>
      </c>
      <c r="E11" s="61"/>
      <c r="F11" s="61"/>
      <c r="G11" s="61"/>
    </row>
    <row r="12" spans="1:7" ht="26.25" customHeight="1" x14ac:dyDescent="0.3">
      <c r="A12" s="56" t="s">
        <v>84</v>
      </c>
      <c r="B12" s="56"/>
      <c r="C12" s="56"/>
      <c r="D12" s="56"/>
      <c r="E12" s="56"/>
      <c r="F12" s="56"/>
      <c r="G12" s="31"/>
    </row>
    <row r="13" spans="1:7" ht="63" customHeight="1" x14ac:dyDescent="0.3">
      <c r="A13" s="64" t="s">
        <v>2</v>
      </c>
      <c r="B13" s="62"/>
      <c r="C13" s="65"/>
      <c r="D13" s="39" t="s">
        <v>85</v>
      </c>
      <c r="E13" s="17"/>
      <c r="F13" s="18" t="s">
        <v>87</v>
      </c>
      <c r="G13" s="18" t="s">
        <v>86</v>
      </c>
    </row>
    <row r="14" spans="1:7" s="7" customFormat="1" ht="41.4" customHeight="1" x14ac:dyDescent="0.25">
      <c r="A14" s="67" t="s">
        <v>14</v>
      </c>
      <c r="B14" s="70" t="s">
        <v>11</v>
      </c>
      <c r="C14" s="14" t="s">
        <v>15</v>
      </c>
      <c r="D14" s="40">
        <f>SUM(D15:D19)</f>
        <v>1178980.7178839589</v>
      </c>
      <c r="E14" s="11"/>
      <c r="F14" s="23" t="s">
        <v>124</v>
      </c>
      <c r="G14" s="23">
        <v>104</v>
      </c>
    </row>
    <row r="15" spans="1:7" ht="14.25" customHeight="1" x14ac:dyDescent="0.25">
      <c r="A15" s="68"/>
      <c r="B15" s="71"/>
      <c r="C15" s="6" t="s">
        <v>93</v>
      </c>
      <c r="D15" s="41">
        <v>446922.18</v>
      </c>
      <c r="E15" s="12" t="s">
        <v>9</v>
      </c>
      <c r="F15" s="24"/>
      <c r="G15" s="19"/>
    </row>
    <row r="16" spans="1:7" ht="14.25" customHeight="1" x14ac:dyDescent="0.25">
      <c r="A16" s="68"/>
      <c r="B16" s="71"/>
      <c r="C16" s="6" t="s">
        <v>94</v>
      </c>
      <c r="D16" s="41">
        <v>274521.95170648466</v>
      </c>
      <c r="E16" s="12" t="s">
        <v>9</v>
      </c>
      <c r="F16" s="24"/>
      <c r="G16" s="19"/>
    </row>
    <row r="17" spans="1:7" ht="14.25" customHeight="1" x14ac:dyDescent="0.25">
      <c r="A17" s="68"/>
      <c r="B17" s="71"/>
      <c r="C17" s="6" t="s">
        <v>95</v>
      </c>
      <c r="D17" s="41">
        <v>91507.317235494877</v>
      </c>
      <c r="E17" s="12" t="s">
        <v>9</v>
      </c>
      <c r="F17" s="24"/>
      <c r="G17" s="19"/>
    </row>
    <row r="18" spans="1:7" ht="14.25" customHeight="1" x14ac:dyDescent="0.25">
      <c r="A18" s="68"/>
      <c r="B18" s="71"/>
      <c r="C18" s="6" t="s">
        <v>96</v>
      </c>
      <c r="D18" s="41">
        <v>183014.63447098975</v>
      </c>
      <c r="E18" s="12" t="s">
        <v>9</v>
      </c>
      <c r="F18" s="24"/>
      <c r="G18" s="19"/>
    </row>
    <row r="19" spans="1:7" ht="14.25" customHeight="1" x14ac:dyDescent="0.25">
      <c r="A19" s="68"/>
      <c r="B19" s="72"/>
      <c r="C19" s="6" t="s">
        <v>97</v>
      </c>
      <c r="D19" s="41">
        <v>183014.63447098975</v>
      </c>
      <c r="E19" s="12" t="s">
        <v>9</v>
      </c>
      <c r="F19" s="24"/>
      <c r="G19" s="19"/>
    </row>
    <row r="20" spans="1:7" s="1" customFormat="1" ht="30.75" customHeight="1" x14ac:dyDescent="0.3">
      <c r="A20" s="68"/>
      <c r="B20" s="13" t="s">
        <v>12</v>
      </c>
      <c r="C20" s="14" t="s">
        <v>16</v>
      </c>
      <c r="D20" s="40">
        <f>D14*30.2%</f>
        <v>356052.17680095561</v>
      </c>
      <c r="E20" s="12" t="s">
        <v>10</v>
      </c>
      <c r="F20" s="23" t="s">
        <v>125</v>
      </c>
      <c r="G20" s="23">
        <v>31</v>
      </c>
    </row>
    <row r="21" spans="1:7" s="1" customFormat="1" ht="27" customHeight="1" x14ac:dyDescent="0.3">
      <c r="A21" s="68"/>
      <c r="B21" s="70" t="s">
        <v>13</v>
      </c>
      <c r="C21" s="14" t="s">
        <v>17</v>
      </c>
      <c r="D21" s="40">
        <f>SUM(D22:D36)</f>
        <v>367200</v>
      </c>
      <c r="E21" s="12"/>
      <c r="F21" s="25" t="s">
        <v>126</v>
      </c>
      <c r="G21" s="19">
        <v>32</v>
      </c>
    </row>
    <row r="22" spans="1:7" ht="14.25" customHeight="1" x14ac:dyDescent="0.25">
      <c r="A22" s="68"/>
      <c r="B22" s="71"/>
      <c r="C22" s="12" t="s">
        <v>61</v>
      </c>
      <c r="D22" s="32">
        <v>7000</v>
      </c>
      <c r="E22" s="12"/>
      <c r="F22" s="24"/>
      <c r="G22" s="19"/>
    </row>
    <row r="23" spans="1:7" ht="14.25" customHeight="1" x14ac:dyDescent="0.25">
      <c r="A23" s="68"/>
      <c r="B23" s="71"/>
      <c r="C23" s="12" t="s">
        <v>62</v>
      </c>
      <c r="D23" s="32">
        <v>65000</v>
      </c>
      <c r="E23" s="12"/>
      <c r="F23" s="24"/>
      <c r="G23" s="19"/>
    </row>
    <row r="24" spans="1:7" ht="14.25" customHeight="1" x14ac:dyDescent="0.25">
      <c r="A24" s="68"/>
      <c r="B24" s="71"/>
      <c r="C24" s="12" t="s">
        <v>63</v>
      </c>
      <c r="D24" s="32">
        <f>1350*12</f>
        <v>16200</v>
      </c>
      <c r="E24" s="12" t="s">
        <v>100</v>
      </c>
      <c r="F24" s="24"/>
      <c r="G24" s="19"/>
    </row>
    <row r="25" spans="1:7" ht="14.25" customHeight="1" x14ac:dyDescent="0.25">
      <c r="A25" s="68"/>
      <c r="B25" s="71"/>
      <c r="C25" s="12" t="s">
        <v>64</v>
      </c>
      <c r="D25" s="32">
        <v>8000</v>
      </c>
      <c r="E25" s="12"/>
      <c r="F25" s="24"/>
      <c r="G25" s="19"/>
    </row>
    <row r="26" spans="1:7" ht="14.25" customHeight="1" x14ac:dyDescent="0.25">
      <c r="A26" s="68"/>
      <c r="B26" s="71"/>
      <c r="C26" s="12" t="s">
        <v>65</v>
      </c>
      <c r="D26" s="32">
        <v>2000</v>
      </c>
      <c r="E26" s="12"/>
      <c r="F26" s="24"/>
      <c r="G26" s="19"/>
    </row>
    <row r="27" spans="1:7" ht="14.25" customHeight="1" x14ac:dyDescent="0.25">
      <c r="A27" s="68"/>
      <c r="B27" s="71"/>
      <c r="C27" s="12" t="s">
        <v>66</v>
      </c>
      <c r="D27" s="32">
        <f>500*3*12</f>
        <v>18000</v>
      </c>
      <c r="E27" s="12" t="s">
        <v>101</v>
      </c>
      <c r="F27" s="24"/>
      <c r="G27" s="19"/>
    </row>
    <row r="28" spans="1:7" ht="27.6" customHeight="1" x14ac:dyDescent="0.25">
      <c r="A28" s="68"/>
      <c r="B28" s="71"/>
      <c r="C28" s="12" t="s">
        <v>67</v>
      </c>
      <c r="D28" s="32">
        <v>9000</v>
      </c>
      <c r="E28" s="12"/>
      <c r="F28" s="24"/>
      <c r="G28" s="19"/>
    </row>
    <row r="29" spans="1:7" ht="14.25" customHeight="1" x14ac:dyDescent="0.25">
      <c r="A29" s="68"/>
      <c r="B29" s="71"/>
      <c r="C29" s="12" t="s">
        <v>68</v>
      </c>
      <c r="D29" s="32">
        <v>15000</v>
      </c>
      <c r="E29" s="12"/>
      <c r="F29" s="24"/>
      <c r="G29" s="19"/>
    </row>
    <row r="30" spans="1:7" ht="14.25" customHeight="1" x14ac:dyDescent="0.25">
      <c r="A30" s="68"/>
      <c r="B30" s="71"/>
      <c r="C30" s="12" t="s">
        <v>69</v>
      </c>
      <c r="D30" s="32">
        <v>20000</v>
      </c>
      <c r="E30" s="12"/>
      <c r="F30" s="24"/>
      <c r="G30" s="19"/>
    </row>
    <row r="31" spans="1:7" ht="14.25" customHeight="1" x14ac:dyDescent="0.25">
      <c r="A31" s="68"/>
      <c r="B31" s="71"/>
      <c r="C31" s="12" t="s">
        <v>70</v>
      </c>
      <c r="D31" s="32">
        <v>10000</v>
      </c>
      <c r="E31" s="12"/>
      <c r="F31" s="24"/>
      <c r="G31" s="19"/>
    </row>
    <row r="32" spans="1:7" ht="26.4" x14ac:dyDescent="0.25">
      <c r="A32" s="68"/>
      <c r="B32" s="71"/>
      <c r="C32" s="12" t="s">
        <v>71</v>
      </c>
      <c r="D32" s="32">
        <v>15000</v>
      </c>
      <c r="E32" s="12"/>
      <c r="F32" s="24"/>
      <c r="G32" s="19"/>
    </row>
    <row r="33" spans="1:10" ht="26.4" x14ac:dyDescent="0.25">
      <c r="A33" s="68"/>
      <c r="B33" s="71"/>
      <c r="C33" s="12" t="s">
        <v>72</v>
      </c>
      <c r="D33" s="32">
        <v>10000</v>
      </c>
      <c r="E33" s="12"/>
      <c r="F33" s="24"/>
      <c r="G33" s="19"/>
    </row>
    <row r="34" spans="1:10" x14ac:dyDescent="0.25">
      <c r="A34" s="68"/>
      <c r="B34" s="71"/>
      <c r="C34" s="12" t="s">
        <v>73</v>
      </c>
      <c r="D34" s="32">
        <v>70000</v>
      </c>
      <c r="E34" s="12"/>
      <c r="F34" s="24"/>
      <c r="G34" s="19"/>
    </row>
    <row r="35" spans="1:10" ht="26.4" x14ac:dyDescent="0.25">
      <c r="A35" s="68"/>
      <c r="B35" s="71"/>
      <c r="C35" s="12" t="s">
        <v>74</v>
      </c>
      <c r="D35" s="32">
        <f>15000+6500*10</f>
        <v>80000</v>
      </c>
      <c r="E35" s="12" t="s">
        <v>123</v>
      </c>
      <c r="F35" s="24"/>
      <c r="G35" s="19"/>
    </row>
    <row r="36" spans="1:10" ht="14.25" customHeight="1" x14ac:dyDescent="0.25">
      <c r="A36" s="68"/>
      <c r="B36" s="72"/>
      <c r="C36" s="12" t="s">
        <v>92</v>
      </c>
      <c r="D36" s="32">
        <v>22000</v>
      </c>
      <c r="E36" s="12"/>
      <c r="F36" s="24"/>
      <c r="G36" s="19"/>
    </row>
    <row r="37" spans="1:10" s="9" customFormat="1" ht="49.5" customHeight="1" x14ac:dyDescent="0.3">
      <c r="A37" s="69"/>
      <c r="B37" s="73" t="s">
        <v>81</v>
      </c>
      <c r="C37" s="74"/>
      <c r="D37" s="42">
        <f>D14+D20+D21</f>
        <v>1902232.8946849145</v>
      </c>
      <c r="E37" s="11"/>
      <c r="F37" s="26"/>
      <c r="G37" s="20">
        <f>G14+G20+G21</f>
        <v>167</v>
      </c>
    </row>
    <row r="38" spans="1:10" ht="27.6" customHeight="1" x14ac:dyDescent="0.25">
      <c r="A38" s="77" t="s">
        <v>25</v>
      </c>
      <c r="B38" s="70" t="s">
        <v>11</v>
      </c>
      <c r="C38" s="11" t="s">
        <v>23</v>
      </c>
      <c r="D38" s="43">
        <f>D39+D45+D46+D47+D49+D48</f>
        <v>1143000</v>
      </c>
      <c r="E38" s="15"/>
      <c r="F38" s="24" t="s">
        <v>128</v>
      </c>
      <c r="G38" s="19">
        <v>101</v>
      </c>
    </row>
    <row r="39" spans="1:10" ht="39.6" customHeight="1" x14ac:dyDescent="0.25">
      <c r="A39" s="78"/>
      <c r="B39" s="71"/>
      <c r="C39" s="12" t="s">
        <v>34</v>
      </c>
      <c r="D39" s="32">
        <f>SUM(D40:D44)</f>
        <v>448000</v>
      </c>
      <c r="E39" s="83" t="s">
        <v>29</v>
      </c>
      <c r="F39" s="24"/>
      <c r="G39" s="19"/>
    </row>
    <row r="40" spans="1:10" ht="19.5" customHeight="1" x14ac:dyDescent="0.25">
      <c r="A40" s="78"/>
      <c r="B40" s="71"/>
      <c r="C40" s="12" t="s">
        <v>26</v>
      </c>
      <c r="D40" s="32">
        <v>112000</v>
      </c>
      <c r="E40" s="84"/>
      <c r="F40" s="24"/>
      <c r="G40" s="19"/>
    </row>
    <row r="41" spans="1:10" ht="19.5" customHeight="1" x14ac:dyDescent="0.25">
      <c r="A41" s="78"/>
      <c r="B41" s="71"/>
      <c r="C41" s="12" t="s">
        <v>27</v>
      </c>
      <c r="D41" s="32">
        <v>100000</v>
      </c>
      <c r="E41" s="84"/>
      <c r="F41" s="24"/>
      <c r="G41" s="19"/>
    </row>
    <row r="42" spans="1:10" ht="19.5" customHeight="1" x14ac:dyDescent="0.25">
      <c r="A42" s="78"/>
      <c r="B42" s="71"/>
      <c r="C42" s="12" t="s">
        <v>28</v>
      </c>
      <c r="D42" s="32">
        <v>150000</v>
      </c>
      <c r="E42" s="84"/>
      <c r="F42" s="24"/>
      <c r="G42" s="19"/>
    </row>
    <row r="43" spans="1:10" ht="22.8" customHeight="1" x14ac:dyDescent="0.25">
      <c r="A43" s="78"/>
      <c r="B43" s="71"/>
      <c r="C43" s="12" t="s">
        <v>137</v>
      </c>
      <c r="D43" s="32">
        <v>30000</v>
      </c>
      <c r="E43" s="84"/>
      <c r="F43" s="24"/>
      <c r="G43" s="19"/>
    </row>
    <row r="44" spans="1:10" ht="19.5" customHeight="1" x14ac:dyDescent="0.25">
      <c r="A44" s="78"/>
      <c r="B44" s="71"/>
      <c r="C44" s="12" t="s">
        <v>39</v>
      </c>
      <c r="D44" s="32">
        <v>56000</v>
      </c>
      <c r="E44" s="85"/>
      <c r="F44" s="24"/>
      <c r="G44" s="19"/>
    </row>
    <row r="45" spans="1:10" ht="25.5" customHeight="1" x14ac:dyDescent="0.25">
      <c r="A45" s="78"/>
      <c r="B45" s="71"/>
      <c r="C45" s="12" t="s">
        <v>31</v>
      </c>
      <c r="D45" s="32">
        <v>32000</v>
      </c>
      <c r="E45" s="12" t="s">
        <v>30</v>
      </c>
      <c r="F45" s="24"/>
      <c r="G45" s="19"/>
    </row>
    <row r="46" spans="1:10" ht="31.2" customHeight="1" x14ac:dyDescent="0.25">
      <c r="A46" s="78"/>
      <c r="B46" s="71"/>
      <c r="C46" s="12" t="s">
        <v>32</v>
      </c>
      <c r="D46" s="32">
        <v>55000</v>
      </c>
      <c r="E46" s="12"/>
      <c r="F46" s="24"/>
      <c r="G46" s="19"/>
    </row>
    <row r="47" spans="1:10" ht="27" customHeight="1" x14ac:dyDescent="0.25">
      <c r="A47" s="78"/>
      <c r="B47" s="71"/>
      <c r="C47" s="12" t="s">
        <v>33</v>
      </c>
      <c r="D47" s="32">
        <v>18000</v>
      </c>
      <c r="E47" s="12" t="s">
        <v>30</v>
      </c>
      <c r="F47" s="24"/>
      <c r="G47" s="19"/>
    </row>
    <row r="48" spans="1:10" ht="39" customHeight="1" x14ac:dyDescent="0.25">
      <c r="A48" s="78"/>
      <c r="B48" s="71"/>
      <c r="C48" s="48" t="s">
        <v>138</v>
      </c>
      <c r="D48" s="49">
        <v>420000</v>
      </c>
      <c r="E48" s="48"/>
      <c r="F48" s="50"/>
      <c r="G48" s="51"/>
      <c r="H48" s="53" t="s">
        <v>127</v>
      </c>
      <c r="I48" s="54"/>
      <c r="J48" s="54"/>
    </row>
    <row r="49" spans="1:7" ht="39" customHeight="1" x14ac:dyDescent="0.25">
      <c r="A49" s="78"/>
      <c r="B49" s="72"/>
      <c r="C49" s="12" t="s">
        <v>139</v>
      </c>
      <c r="D49" s="32">
        <f>120000+50000</f>
        <v>170000</v>
      </c>
      <c r="E49" s="12"/>
      <c r="F49" s="24"/>
      <c r="G49" s="19"/>
    </row>
    <row r="50" spans="1:7" ht="26.4" customHeight="1" x14ac:dyDescent="0.25">
      <c r="A50" s="78"/>
      <c r="B50" s="10" t="s">
        <v>12</v>
      </c>
      <c r="C50" s="11" t="s">
        <v>35</v>
      </c>
      <c r="D50" s="43">
        <f>SUM(D51:D57)</f>
        <v>2923736.94624</v>
      </c>
      <c r="E50" s="12"/>
      <c r="F50" s="27" t="s">
        <v>129</v>
      </c>
      <c r="G50" s="27">
        <v>204</v>
      </c>
    </row>
    <row r="51" spans="1:7" ht="51" customHeight="1" x14ac:dyDescent="0.25">
      <c r="A51" s="78"/>
      <c r="B51" s="10"/>
      <c r="C51" s="12" t="s">
        <v>36</v>
      </c>
      <c r="D51" s="32">
        <v>2327095</v>
      </c>
      <c r="E51" s="12" t="s">
        <v>104</v>
      </c>
      <c r="F51" s="24"/>
      <c r="G51" s="19"/>
    </row>
    <row r="52" spans="1:7" ht="38.4" customHeight="1" x14ac:dyDescent="0.25">
      <c r="A52" s="78"/>
      <c r="B52" s="10"/>
      <c r="C52" s="12" t="s">
        <v>37</v>
      </c>
      <c r="D52" s="32">
        <v>73000</v>
      </c>
      <c r="E52" s="12" t="s">
        <v>105</v>
      </c>
      <c r="F52" s="24"/>
      <c r="G52" s="19"/>
    </row>
    <row r="53" spans="1:7" ht="41.25" customHeight="1" x14ac:dyDescent="0.25">
      <c r="A53" s="78"/>
      <c r="B53" s="10"/>
      <c r="C53" s="12" t="s">
        <v>38</v>
      </c>
      <c r="D53" s="32">
        <f>8*3500*2</f>
        <v>56000</v>
      </c>
      <c r="E53" s="12" t="s">
        <v>117</v>
      </c>
      <c r="F53" s="24"/>
      <c r="G53" s="19"/>
    </row>
    <row r="54" spans="1:7" ht="40.799999999999997" customHeight="1" x14ac:dyDescent="0.25">
      <c r="A54" s="78"/>
      <c r="B54" s="10"/>
      <c r="C54" s="12" t="s">
        <v>119</v>
      </c>
      <c r="D54" s="32">
        <f>200*128+4400</f>
        <v>30000</v>
      </c>
      <c r="E54" s="12"/>
      <c r="F54" s="24"/>
      <c r="G54" s="19"/>
    </row>
    <row r="55" spans="1:7" ht="39.6" customHeight="1" x14ac:dyDescent="0.25">
      <c r="A55" s="78"/>
      <c r="B55" s="10"/>
      <c r="C55" s="12" t="s">
        <v>40</v>
      </c>
      <c r="D55" s="32">
        <f>251645.12+251645.12*30.2%</f>
        <v>327641.94623999996</v>
      </c>
      <c r="E55" s="12" t="s">
        <v>9</v>
      </c>
      <c r="F55" s="24"/>
      <c r="G55" s="19"/>
    </row>
    <row r="56" spans="1:7" ht="30" customHeight="1" x14ac:dyDescent="0.25">
      <c r="A56" s="78"/>
      <c r="B56" s="10"/>
      <c r="C56" s="12" t="s">
        <v>116</v>
      </c>
      <c r="D56" s="32">
        <v>100000</v>
      </c>
      <c r="E56" s="12" t="s">
        <v>130</v>
      </c>
      <c r="F56" s="24"/>
      <c r="G56" s="19"/>
    </row>
    <row r="57" spans="1:7" ht="38.4" customHeight="1" x14ac:dyDescent="0.25">
      <c r="A57" s="78"/>
      <c r="B57" s="10"/>
      <c r="C57" s="12" t="s">
        <v>120</v>
      </c>
      <c r="D57" s="32">
        <v>10000</v>
      </c>
      <c r="E57" s="12"/>
      <c r="F57" s="24"/>
      <c r="G57" s="19"/>
    </row>
    <row r="58" spans="1:7" ht="27.6" x14ac:dyDescent="0.25">
      <c r="A58" s="78"/>
      <c r="B58" s="70" t="s">
        <v>13</v>
      </c>
      <c r="C58" s="11" t="s">
        <v>44</v>
      </c>
      <c r="D58" s="43">
        <f>SUM(D59:D66)</f>
        <v>714485</v>
      </c>
      <c r="E58" s="12"/>
      <c r="F58" s="24" t="s">
        <v>131</v>
      </c>
      <c r="G58" s="24">
        <v>63</v>
      </c>
    </row>
    <row r="59" spans="1:7" ht="42" customHeight="1" x14ac:dyDescent="0.25">
      <c r="A59" s="78"/>
      <c r="B59" s="71"/>
      <c r="C59" s="12" t="s">
        <v>46</v>
      </c>
      <c r="D59" s="32">
        <f>30*3*400</f>
        <v>36000</v>
      </c>
      <c r="E59" s="80" t="s">
        <v>41</v>
      </c>
      <c r="F59" s="24"/>
      <c r="G59" s="19"/>
    </row>
    <row r="60" spans="1:7" ht="37.200000000000003" customHeight="1" x14ac:dyDescent="0.25">
      <c r="A60" s="78"/>
      <c r="B60" s="71"/>
      <c r="C60" s="12" t="s">
        <v>42</v>
      </c>
      <c r="D60" s="32">
        <f>3*31*400</f>
        <v>37200</v>
      </c>
      <c r="E60" s="81"/>
      <c r="F60" s="24"/>
      <c r="G60" s="19"/>
    </row>
    <row r="61" spans="1:7" ht="63.6" customHeight="1" x14ac:dyDescent="0.25">
      <c r="A61" s="78"/>
      <c r="B61" s="71"/>
      <c r="C61" s="12" t="s">
        <v>47</v>
      </c>
      <c r="D61" s="32">
        <f>130*400*3</f>
        <v>156000</v>
      </c>
      <c r="E61" s="82"/>
      <c r="F61" s="24"/>
      <c r="G61" s="19"/>
    </row>
    <row r="62" spans="1:7" ht="44.4" customHeight="1" x14ac:dyDescent="0.25">
      <c r="A62" s="78"/>
      <c r="B62" s="71"/>
      <c r="C62" s="33" t="s">
        <v>118</v>
      </c>
      <c r="D62" s="32">
        <f>75*300+300*225</f>
        <v>90000</v>
      </c>
      <c r="E62" s="33" t="s">
        <v>106</v>
      </c>
      <c r="F62" s="24"/>
      <c r="G62" s="19"/>
    </row>
    <row r="63" spans="1:7" ht="14.25" customHeight="1" x14ac:dyDescent="0.25">
      <c r="A63" s="78"/>
      <c r="B63" s="71"/>
      <c r="C63" s="33" t="s">
        <v>48</v>
      </c>
      <c r="D63" s="32">
        <f>51000/2*3</f>
        <v>76500</v>
      </c>
      <c r="E63" s="33"/>
      <c r="F63" s="24"/>
      <c r="G63" s="19"/>
    </row>
    <row r="64" spans="1:7" ht="25.8" customHeight="1" x14ac:dyDescent="0.25">
      <c r="A64" s="78"/>
      <c r="B64" s="71"/>
      <c r="C64" s="33" t="s">
        <v>49</v>
      </c>
      <c r="D64" s="32">
        <v>60000</v>
      </c>
      <c r="E64" s="33" t="s">
        <v>30</v>
      </c>
      <c r="F64" s="24"/>
      <c r="G64" s="19"/>
    </row>
    <row r="65" spans="1:10" ht="24" customHeight="1" x14ac:dyDescent="0.25">
      <c r="A65" s="78"/>
      <c r="B65" s="71"/>
      <c r="C65" s="12" t="s">
        <v>107</v>
      </c>
      <c r="D65" s="32">
        <f>500*507.57</f>
        <v>253785</v>
      </c>
      <c r="E65" s="12" t="s">
        <v>30</v>
      </c>
      <c r="F65" s="24"/>
      <c r="G65" s="19"/>
    </row>
    <row r="66" spans="1:10" ht="26.4" customHeight="1" x14ac:dyDescent="0.25">
      <c r="A66" s="78"/>
      <c r="B66" s="72"/>
      <c r="C66" s="12" t="s">
        <v>59</v>
      </c>
      <c r="D66" s="32">
        <v>5000</v>
      </c>
      <c r="E66" s="12"/>
      <c r="F66" s="24"/>
      <c r="G66" s="19"/>
    </row>
    <row r="67" spans="1:10" ht="19.5" customHeight="1" x14ac:dyDescent="0.25">
      <c r="A67" s="78"/>
      <c r="B67" s="70" t="s">
        <v>43</v>
      </c>
      <c r="C67" s="14" t="s">
        <v>24</v>
      </c>
      <c r="D67" s="43">
        <f>SUM(D69:D73)</f>
        <v>3928360.8652996584</v>
      </c>
      <c r="E67" s="11"/>
      <c r="F67" s="24" t="s">
        <v>132</v>
      </c>
      <c r="G67" s="24">
        <v>347</v>
      </c>
    </row>
    <row r="68" spans="1:10" ht="14.25" customHeight="1" x14ac:dyDescent="0.25">
      <c r="A68" s="78"/>
      <c r="B68" s="71"/>
      <c r="C68" s="12" t="s">
        <v>18</v>
      </c>
      <c r="D68" s="32"/>
      <c r="E68" s="12"/>
      <c r="F68" s="24"/>
      <c r="G68" s="19"/>
    </row>
    <row r="69" spans="1:10" ht="14.25" customHeight="1" x14ac:dyDescent="0.25">
      <c r="A69" s="78"/>
      <c r="B69" s="71"/>
      <c r="C69" s="12" t="s">
        <v>53</v>
      </c>
      <c r="D69" s="32">
        <v>1464117.075767918</v>
      </c>
      <c r="E69" s="12" t="s">
        <v>9</v>
      </c>
      <c r="F69" s="24"/>
      <c r="G69" s="19"/>
    </row>
    <row r="70" spans="1:10" ht="14.25" customHeight="1" x14ac:dyDescent="0.25">
      <c r="A70" s="78"/>
      <c r="B70" s="71"/>
      <c r="C70" s="12" t="s">
        <v>54</v>
      </c>
      <c r="D70" s="32">
        <v>1464117.075767918</v>
      </c>
      <c r="E70" s="12" t="s">
        <v>9</v>
      </c>
      <c r="F70" s="24"/>
      <c r="G70" s="19"/>
    </row>
    <row r="71" spans="1:10" ht="27.75" customHeight="1" x14ac:dyDescent="0.25">
      <c r="A71" s="78"/>
      <c r="B71" s="71"/>
      <c r="C71" s="16" t="s">
        <v>19</v>
      </c>
      <c r="D71" s="44">
        <f>(D69+D70)*30.2%</f>
        <v>884326.71376382245</v>
      </c>
      <c r="E71" s="16" t="s">
        <v>10</v>
      </c>
      <c r="F71" s="24"/>
      <c r="G71" s="19"/>
    </row>
    <row r="72" spans="1:10" ht="14.25" customHeight="1" x14ac:dyDescent="0.25">
      <c r="A72" s="78"/>
      <c r="B72" s="71"/>
      <c r="C72" s="12" t="s">
        <v>20</v>
      </c>
      <c r="D72" s="32">
        <f>1650*12</f>
        <v>19800</v>
      </c>
      <c r="E72" s="12" t="s">
        <v>99</v>
      </c>
      <c r="F72" s="24"/>
      <c r="G72" s="19"/>
    </row>
    <row r="73" spans="1:10" ht="29.25" customHeight="1" x14ac:dyDescent="0.25">
      <c r="A73" s="78"/>
      <c r="B73" s="71"/>
      <c r="C73" s="12" t="s">
        <v>21</v>
      </c>
      <c r="D73" s="32">
        <v>96000</v>
      </c>
      <c r="E73" s="12" t="s">
        <v>22</v>
      </c>
      <c r="F73" s="24"/>
      <c r="G73" s="19"/>
    </row>
    <row r="74" spans="1:10" ht="24.6" customHeight="1" x14ac:dyDescent="0.25">
      <c r="A74" s="78"/>
      <c r="B74" s="10" t="s">
        <v>51</v>
      </c>
      <c r="C74" s="11" t="s">
        <v>52</v>
      </c>
      <c r="D74" s="43">
        <f>SUM(D75:D78)</f>
        <v>270000</v>
      </c>
      <c r="E74" s="15"/>
      <c r="F74" s="24" t="s">
        <v>133</v>
      </c>
      <c r="G74" s="24">
        <v>24</v>
      </c>
    </row>
    <row r="75" spans="1:10" ht="28.8" customHeight="1" x14ac:dyDescent="0.25">
      <c r="A75" s="78"/>
      <c r="B75" s="10"/>
      <c r="C75" s="12" t="s">
        <v>55</v>
      </c>
      <c r="D75" s="32">
        <f>6000*12</f>
        <v>72000</v>
      </c>
      <c r="E75" s="12" t="s">
        <v>58</v>
      </c>
      <c r="F75" s="24"/>
      <c r="G75" s="19"/>
    </row>
    <row r="76" spans="1:10" ht="22.2" customHeight="1" x14ac:dyDescent="0.25">
      <c r="A76" s="78"/>
      <c r="B76" s="10"/>
      <c r="C76" s="12" t="s">
        <v>56</v>
      </c>
      <c r="D76" s="32">
        <v>15000</v>
      </c>
      <c r="E76" s="12"/>
      <c r="F76" s="24"/>
      <c r="G76" s="19"/>
    </row>
    <row r="77" spans="1:10" ht="26.4" x14ac:dyDescent="0.25">
      <c r="A77" s="78"/>
      <c r="B77" s="10"/>
      <c r="C77" s="16" t="s">
        <v>103</v>
      </c>
      <c r="D77" s="32">
        <v>45000</v>
      </c>
      <c r="E77" s="12" t="s">
        <v>108</v>
      </c>
      <c r="F77" s="24"/>
      <c r="G77" s="19"/>
    </row>
    <row r="78" spans="1:10" ht="30" customHeight="1" x14ac:dyDescent="0.25">
      <c r="A78" s="78"/>
      <c r="B78" s="10"/>
      <c r="C78" s="52" t="s">
        <v>102</v>
      </c>
      <c r="D78" s="49">
        <v>138000</v>
      </c>
      <c r="E78" s="48" t="s">
        <v>109</v>
      </c>
      <c r="F78" s="50"/>
      <c r="G78" s="51"/>
      <c r="H78" s="53" t="s">
        <v>127</v>
      </c>
      <c r="I78" s="54"/>
      <c r="J78" s="54"/>
    </row>
    <row r="79" spans="1:10" ht="27.6" x14ac:dyDescent="0.25">
      <c r="A79" s="78"/>
      <c r="B79" s="10" t="s">
        <v>45</v>
      </c>
      <c r="C79" s="11" t="s">
        <v>57</v>
      </c>
      <c r="D79" s="43">
        <f>SUM(D80:D84)</f>
        <v>346250</v>
      </c>
      <c r="E79" s="12"/>
      <c r="F79" s="24" t="s">
        <v>134</v>
      </c>
      <c r="G79" s="19">
        <v>31</v>
      </c>
    </row>
    <row r="80" spans="1:10" ht="19.8" customHeight="1" x14ac:dyDescent="0.25">
      <c r="A80" s="78"/>
      <c r="B80" s="10"/>
      <c r="C80" s="12" t="s">
        <v>60</v>
      </c>
      <c r="D80" s="32">
        <v>20000</v>
      </c>
      <c r="E80" s="12"/>
      <c r="F80" s="24"/>
      <c r="G80" s="19"/>
    </row>
    <row r="81" spans="1:7" ht="28.8" customHeight="1" x14ac:dyDescent="0.25">
      <c r="A81" s="78"/>
      <c r="B81" s="10"/>
      <c r="C81" s="12" t="s">
        <v>121</v>
      </c>
      <c r="D81" s="32">
        <f>7250*5</f>
        <v>36250</v>
      </c>
      <c r="E81" s="12"/>
      <c r="F81" s="24"/>
      <c r="G81" s="19"/>
    </row>
    <row r="82" spans="1:7" ht="20.399999999999999" customHeight="1" x14ac:dyDescent="0.25">
      <c r="A82" s="78"/>
      <c r="B82" s="34"/>
      <c r="C82" s="33" t="s">
        <v>112</v>
      </c>
      <c r="D82" s="32">
        <v>30000</v>
      </c>
      <c r="E82" s="33"/>
      <c r="F82" s="24"/>
      <c r="G82" s="19"/>
    </row>
    <row r="83" spans="1:7" ht="20.399999999999999" customHeight="1" x14ac:dyDescent="0.25">
      <c r="A83" s="78"/>
      <c r="B83" s="34"/>
      <c r="C83" s="33" t="s">
        <v>122</v>
      </c>
      <c r="D83" s="32">
        <v>10000</v>
      </c>
      <c r="E83" s="33"/>
      <c r="F83" s="24"/>
      <c r="G83" s="19"/>
    </row>
    <row r="84" spans="1:7" ht="29.4" customHeight="1" x14ac:dyDescent="0.25">
      <c r="A84" s="78"/>
      <c r="B84" s="10"/>
      <c r="C84" s="12" t="s">
        <v>115</v>
      </c>
      <c r="D84" s="32">
        <v>250000</v>
      </c>
      <c r="E84" s="12"/>
      <c r="F84" s="24"/>
      <c r="G84" s="19"/>
    </row>
    <row r="85" spans="1:7" ht="30.6" customHeight="1" x14ac:dyDescent="0.25">
      <c r="A85" s="78"/>
      <c r="B85" s="10" t="s">
        <v>50</v>
      </c>
      <c r="C85" s="11" t="s">
        <v>76</v>
      </c>
      <c r="D85" s="43">
        <f>SUM(D86:D89)</f>
        <v>180000</v>
      </c>
      <c r="E85" s="12"/>
      <c r="F85" s="27" t="s">
        <v>135</v>
      </c>
      <c r="G85" s="27">
        <v>7</v>
      </c>
    </row>
    <row r="86" spans="1:7" ht="18.600000000000001" customHeight="1" x14ac:dyDescent="0.25">
      <c r="A86" s="78"/>
      <c r="B86" s="10"/>
      <c r="C86" s="12" t="s">
        <v>77</v>
      </c>
      <c r="D86" s="32">
        <f>3500*30</f>
        <v>105000</v>
      </c>
      <c r="E86" s="12"/>
      <c r="F86" s="24"/>
      <c r="G86" s="19"/>
    </row>
    <row r="87" spans="1:7" ht="18.600000000000001" customHeight="1" x14ac:dyDescent="0.25">
      <c r="A87" s="78"/>
      <c r="B87" s="10"/>
      <c r="C87" s="12" t="s">
        <v>110</v>
      </c>
      <c r="D87" s="32">
        <f>30*2000</f>
        <v>60000</v>
      </c>
      <c r="E87" s="12"/>
      <c r="F87" s="24"/>
      <c r="G87" s="19"/>
    </row>
    <row r="88" spans="1:7" ht="18.600000000000001" customHeight="1" x14ac:dyDescent="0.25">
      <c r="A88" s="78"/>
      <c r="B88" s="10"/>
      <c r="C88" s="12" t="s">
        <v>114</v>
      </c>
      <c r="D88" s="32">
        <f>500*30</f>
        <v>15000</v>
      </c>
      <c r="E88" s="12"/>
      <c r="F88" s="24"/>
      <c r="G88" s="19"/>
    </row>
    <row r="89" spans="1:7" ht="18.600000000000001" customHeight="1" x14ac:dyDescent="0.25">
      <c r="A89" s="78"/>
      <c r="B89" s="10"/>
      <c r="C89" s="12" t="s">
        <v>113</v>
      </c>
      <c r="D89" s="32"/>
      <c r="E89" s="12"/>
      <c r="F89" s="24"/>
      <c r="G89" s="19"/>
    </row>
    <row r="90" spans="1:7" ht="33.6" customHeight="1" x14ac:dyDescent="0.25">
      <c r="A90" s="78"/>
      <c r="B90" s="10" t="s">
        <v>75</v>
      </c>
      <c r="C90" s="11" t="s">
        <v>78</v>
      </c>
      <c r="D90" s="43">
        <f>SUM(D91:D93)</f>
        <v>68000</v>
      </c>
      <c r="E90" s="12"/>
      <c r="F90" s="24" t="s">
        <v>136</v>
      </c>
      <c r="G90" s="19">
        <f>68000/11328</f>
        <v>6.0028248587570623</v>
      </c>
    </row>
    <row r="91" spans="1:7" ht="20.25" customHeight="1" x14ac:dyDescent="0.25">
      <c r="A91" s="78"/>
      <c r="B91" s="10"/>
      <c r="C91" s="12" t="s">
        <v>79</v>
      </c>
      <c r="D91" s="32">
        <v>25000</v>
      </c>
      <c r="E91" s="12"/>
      <c r="F91" s="24"/>
      <c r="G91" s="19"/>
    </row>
    <row r="92" spans="1:7" ht="27.75" customHeight="1" x14ac:dyDescent="0.25">
      <c r="A92" s="78"/>
      <c r="B92" s="10"/>
      <c r="C92" s="12" t="s">
        <v>80</v>
      </c>
      <c r="D92" s="32">
        <f>3500*10</f>
        <v>35000</v>
      </c>
      <c r="E92" s="12"/>
      <c r="F92" s="24"/>
      <c r="G92" s="19"/>
    </row>
    <row r="93" spans="1:7" ht="27" customHeight="1" x14ac:dyDescent="0.25">
      <c r="A93" s="78"/>
      <c r="B93" s="10"/>
      <c r="C93" s="12" t="s">
        <v>111</v>
      </c>
      <c r="D93" s="32">
        <f>800*10</f>
        <v>8000</v>
      </c>
      <c r="E93" s="12"/>
      <c r="F93" s="24"/>
      <c r="G93" s="19"/>
    </row>
    <row r="94" spans="1:7" ht="57" customHeight="1" x14ac:dyDescent="0.3">
      <c r="A94" s="79"/>
      <c r="B94" s="75" t="s">
        <v>82</v>
      </c>
      <c r="C94" s="76"/>
      <c r="D94" s="45">
        <f>D79+D74+D67+D58+D50+D38+D85+D90</f>
        <v>9573832.8115396593</v>
      </c>
      <c r="E94" s="12"/>
      <c r="F94" s="28"/>
      <c r="G94" s="20">
        <f>G79+G74+G67+G58+G50+G38+G85+G90</f>
        <v>783.00282485875709</v>
      </c>
    </row>
    <row r="95" spans="1:7" ht="21" customHeight="1" x14ac:dyDescent="0.3">
      <c r="A95" s="64" t="s">
        <v>83</v>
      </c>
      <c r="B95" s="62"/>
      <c r="C95" s="65"/>
      <c r="D95" s="46">
        <f>D94+D37</f>
        <v>11476065.706224574</v>
      </c>
      <c r="E95" s="12"/>
      <c r="F95" s="29"/>
      <c r="G95" s="21">
        <f>G94+G37</f>
        <v>950.00282485875709</v>
      </c>
    </row>
  </sheetData>
  <mergeCells count="33">
    <mergeCell ref="E39:E44"/>
    <mergeCell ref="B38:B49"/>
    <mergeCell ref="A95:C95"/>
    <mergeCell ref="B7:C7"/>
    <mergeCell ref="B8:C8"/>
    <mergeCell ref="B9:C9"/>
    <mergeCell ref="B10:C10"/>
    <mergeCell ref="B11:C11"/>
    <mergeCell ref="A13:C13"/>
    <mergeCell ref="A14:A37"/>
    <mergeCell ref="B14:B19"/>
    <mergeCell ref="B21:B36"/>
    <mergeCell ref="B37:C37"/>
    <mergeCell ref="B94:C94"/>
    <mergeCell ref="A38:A94"/>
    <mergeCell ref="B58:B66"/>
    <mergeCell ref="B67:B73"/>
    <mergeCell ref="H48:J48"/>
    <mergeCell ref="H78:J78"/>
    <mergeCell ref="A6:C6"/>
    <mergeCell ref="A12:F12"/>
    <mergeCell ref="A1:G1"/>
    <mergeCell ref="A2:G2"/>
    <mergeCell ref="A3:G3"/>
    <mergeCell ref="A4:G4"/>
    <mergeCell ref="E6:G6"/>
    <mergeCell ref="E7:G7"/>
    <mergeCell ref="A5:G5"/>
    <mergeCell ref="E8:G8"/>
    <mergeCell ref="E9:G9"/>
    <mergeCell ref="E10:G10"/>
    <mergeCell ref="E11:G11"/>
    <mergeCell ref="E59:E61"/>
  </mergeCells>
  <pageMargins left="0.70866141732283472" right="0.19685039370078741" top="0.19685039370078741" bottom="0.19685039370078741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Полн.вар.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2024-02-14T04:17:35Z</cp:lastPrinted>
  <dcterms:created xsi:type="dcterms:W3CDTF">2020-02-02T18:35:01Z</dcterms:created>
  <dcterms:modified xsi:type="dcterms:W3CDTF">2025-03-08T11:18:37Z</dcterms:modified>
</cp:coreProperties>
</file>